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ward\AppData\Local\Microsoft\Windows\INetCache\Content.Outlook\G98AKH2E\"/>
    </mc:Choice>
  </mc:AlternateContent>
  <xr:revisionPtr revIDLastSave="0" documentId="13_ncr:1_{623BBC22-4E20-4DA3-BB23-89C20361780C}" xr6:coauthVersionLast="45" xr6:coauthVersionMax="45" xr10:uidLastSave="{00000000-0000-0000-0000-000000000000}"/>
  <bookViews>
    <workbookView xWindow="4668" yWindow="744" windowWidth="17376" windowHeight="11148" xr2:uid="{00000000-000D-0000-FFFF-FFFF00000000}"/>
  </bookViews>
  <sheets>
    <sheet name="Tool" sheetId="11" r:id="rId1"/>
    <sheet name="Factor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1" l="1"/>
  <c r="F7" i="11"/>
  <c r="H5" i="11" l="1"/>
  <c r="J6" i="11" l="1"/>
  <c r="G7" i="11"/>
  <c r="E5" i="11" l="1"/>
  <c r="D16" i="1"/>
  <c r="I5" i="11" l="1"/>
  <c r="D7" i="11" l="1"/>
  <c r="G20" i="11"/>
  <c r="I9" i="11"/>
  <c r="F20" i="11"/>
  <c r="G5" i="11"/>
  <c r="F5" i="11"/>
  <c r="D20" i="11" s="1"/>
  <c r="E9" i="11"/>
  <c r="D5" i="11"/>
  <c r="D9" i="11" s="1"/>
  <c r="F9" i="11" l="1"/>
  <c r="C20" i="11"/>
  <c r="H9" i="11"/>
  <c r="B20" i="11"/>
  <c r="E20" i="11"/>
  <c r="F36" i="1" l="1"/>
  <c r="G36" i="1"/>
  <c r="H36" i="1"/>
  <c r="I36" i="1"/>
  <c r="F25" i="1"/>
  <c r="G25" i="1"/>
  <c r="H25" i="1"/>
  <c r="I25" i="1"/>
  <c r="E25" i="1"/>
  <c r="F15" i="1"/>
  <c r="G15" i="1"/>
  <c r="H15" i="1"/>
  <c r="I15" i="1"/>
  <c r="D15" i="1"/>
  <c r="D25" i="1"/>
  <c r="D36" i="1"/>
  <c r="E36" i="1"/>
  <c r="E15" i="1"/>
  <c r="F21" i="11" l="1"/>
  <c r="G21" i="11"/>
  <c r="H7" i="11"/>
  <c r="I7" i="11"/>
  <c r="B21" i="11"/>
  <c r="C21" i="11"/>
  <c r="D21" i="11"/>
  <c r="E21" i="11"/>
  <c r="H16" i="1"/>
  <c r="I16" i="1"/>
  <c r="H17" i="1"/>
  <c r="I17" i="1"/>
  <c r="H18" i="1"/>
  <c r="I18" i="1"/>
  <c r="H19" i="1"/>
  <c r="I19" i="1"/>
  <c r="H20" i="1"/>
  <c r="I20" i="1"/>
  <c r="H21" i="1"/>
  <c r="I21" i="1"/>
  <c r="E7" i="11" l="1"/>
  <c r="J7" i="11" l="1"/>
  <c r="G21" i="1"/>
  <c r="G20" i="1"/>
  <c r="G19" i="1"/>
  <c r="G18" i="1"/>
  <c r="G17" i="1"/>
  <c r="G16" i="1"/>
  <c r="F21" i="1" l="1"/>
  <c r="F20" i="1"/>
  <c r="F19" i="1"/>
  <c r="F18" i="1"/>
  <c r="F17" i="1"/>
  <c r="F16" i="1"/>
  <c r="D21" i="1" l="1"/>
  <c r="D17" i="1"/>
  <c r="D18" i="1" l="1"/>
  <c r="D19" i="1"/>
  <c r="D20" i="1"/>
  <c r="C11" i="1" l="1"/>
  <c r="C6" i="1" l="1"/>
  <c r="C10" i="1"/>
  <c r="C8" i="1"/>
  <c r="C7" i="1"/>
  <c r="C5" i="1"/>
  <c r="D26" i="1" s="1"/>
  <c r="C9" i="1"/>
  <c r="E21" i="1"/>
  <c r="E20" i="1"/>
  <c r="E19" i="1"/>
  <c r="E18" i="1"/>
  <c r="E17" i="1"/>
  <c r="E16" i="1"/>
  <c r="I29" i="1" l="1"/>
  <c r="H29" i="1"/>
  <c r="E28" i="1"/>
  <c r="H30" i="1"/>
  <c r="I30" i="1"/>
  <c r="H31" i="1"/>
  <c r="I31" i="1"/>
  <c r="H28" i="1"/>
  <c r="I28" i="1"/>
  <c r="G28" i="1"/>
  <c r="F28" i="1"/>
  <c r="E24" i="11"/>
  <c r="H26" i="1"/>
  <c r="I26" i="1"/>
  <c r="I27" i="1"/>
  <c r="H27" i="1"/>
  <c r="G26" i="1"/>
  <c r="E25" i="11"/>
  <c r="G27" i="1"/>
  <c r="E26" i="11"/>
  <c r="E27" i="11"/>
  <c r="G29" i="1"/>
  <c r="E27" i="1"/>
  <c r="E28" i="11"/>
  <c r="G30" i="1"/>
  <c r="E29" i="11"/>
  <c r="G31" i="1"/>
  <c r="F31" i="1"/>
  <c r="F27" i="1"/>
  <c r="E31" i="1"/>
  <c r="F30" i="1"/>
  <c r="F26" i="1"/>
  <c r="F29" i="1"/>
  <c r="E26" i="1"/>
  <c r="E29" i="1"/>
  <c r="D31" i="1"/>
  <c r="D29" i="1"/>
  <c r="D28" i="1"/>
  <c r="D27" i="1"/>
  <c r="D30" i="1"/>
  <c r="E30" i="1"/>
  <c r="D32" i="1" l="1"/>
  <c r="D37" i="1" s="1"/>
  <c r="D10" i="11" s="1"/>
  <c r="H32" i="1"/>
  <c r="H37" i="1" s="1"/>
  <c r="H10" i="11" s="1"/>
  <c r="I32" i="1"/>
  <c r="I41" i="1" s="1"/>
  <c r="I14" i="11" s="1"/>
  <c r="G32" i="1"/>
  <c r="E30" i="11"/>
  <c r="F32" i="1"/>
  <c r="I40" i="1" l="1"/>
  <c r="I13" i="11" s="1"/>
  <c r="I38" i="1"/>
  <c r="I11" i="11" s="1"/>
  <c r="I42" i="1"/>
  <c r="I15" i="11" s="1"/>
  <c r="H42" i="1"/>
  <c r="H15" i="11" s="1"/>
  <c r="H40" i="1"/>
  <c r="H13" i="11" s="1"/>
  <c r="H39" i="1"/>
  <c r="H12" i="11" s="1"/>
  <c r="H41" i="1"/>
  <c r="H14" i="11" s="1"/>
  <c r="H38" i="1"/>
  <c r="H11" i="11" s="1"/>
  <c r="I37" i="1"/>
  <c r="I10" i="11" s="1"/>
  <c r="I39" i="1"/>
  <c r="I12" i="11" s="1"/>
  <c r="G37" i="1"/>
  <c r="G38" i="1"/>
  <c r="G42" i="1"/>
  <c r="G39" i="1"/>
  <c r="G40" i="1"/>
  <c r="G41" i="1"/>
  <c r="G14" i="11" s="1"/>
  <c r="D39" i="1"/>
  <c r="F40" i="1"/>
  <c r="D41" i="1"/>
  <c r="F38" i="1"/>
  <c r="F42" i="1"/>
  <c r="F41" i="1"/>
  <c r="D40" i="1"/>
  <c r="F39" i="1"/>
  <c r="F37" i="1"/>
  <c r="F10" i="11" s="1"/>
  <c r="D42" i="1"/>
  <c r="D38" i="1"/>
  <c r="E32" i="1"/>
  <c r="E39" i="1" s="1"/>
  <c r="H43" i="1" l="1"/>
  <c r="H16" i="11" s="1"/>
  <c r="G43" i="1"/>
  <c r="I43" i="1"/>
  <c r="I16" i="11" s="1"/>
  <c r="G15" i="11"/>
  <c r="G13" i="11"/>
  <c r="D11" i="11"/>
  <c r="F12" i="11"/>
  <c r="F11" i="11"/>
  <c r="D12" i="11"/>
  <c r="D13" i="11"/>
  <c r="G11" i="11"/>
  <c r="F15" i="11"/>
  <c r="D15" i="11"/>
  <c r="D14" i="11"/>
  <c r="F14" i="11"/>
  <c r="F13" i="11"/>
  <c r="G10" i="11"/>
  <c r="G12" i="11"/>
  <c r="F43" i="1"/>
  <c r="D43" i="1"/>
  <c r="E41" i="1"/>
  <c r="E40" i="1"/>
  <c r="E42" i="1"/>
  <c r="E38" i="1"/>
  <c r="E37" i="1"/>
  <c r="E10" i="11" s="1"/>
  <c r="D16" i="11" l="1"/>
  <c r="F16" i="11"/>
  <c r="G16" i="11"/>
  <c r="E13" i="11"/>
  <c r="J13" i="11" s="1"/>
  <c r="E14" i="11"/>
  <c r="J14" i="11" s="1"/>
  <c r="E11" i="11"/>
  <c r="J11" i="11" s="1"/>
  <c r="E12" i="11"/>
  <c r="J12" i="11" s="1"/>
  <c r="E15" i="11"/>
  <c r="E43" i="1"/>
  <c r="J10" i="11" l="1"/>
  <c r="F24" i="11" s="1"/>
  <c r="J15" i="11"/>
  <c r="F26" i="11"/>
  <c r="F25" i="11"/>
  <c r="F28" i="11"/>
  <c r="E16" i="11"/>
  <c r="F27" i="11"/>
  <c r="J25" i="11" l="1"/>
  <c r="G25" i="11"/>
  <c r="J26" i="11"/>
  <c r="G26" i="11"/>
  <c r="J27" i="11"/>
  <c r="G27" i="11"/>
  <c r="J28" i="11"/>
  <c r="G28" i="11"/>
  <c r="J24" i="11"/>
  <c r="G24" i="11"/>
  <c r="J16" i="11"/>
  <c r="F29" i="11"/>
  <c r="J29" i="11" l="1"/>
  <c r="G29" i="11"/>
  <c r="F30" i="11"/>
  <c r="J30" i="11" l="1"/>
  <c r="G30" i="11"/>
</calcChain>
</file>

<file path=xl/sharedStrings.xml><?xml version="1.0" encoding="utf-8"?>
<sst xmlns="http://schemas.openxmlformats.org/spreadsheetml/2006/main" count="78" uniqueCount="36">
  <si>
    <t>B: Scaled to .5 to 1.5</t>
  </si>
  <si>
    <t>C: Base Share adjusted (B * A)</t>
  </si>
  <si>
    <t>Total Allocation</t>
  </si>
  <si>
    <t>Input Data - Original Scale</t>
  </si>
  <si>
    <t>Input weights</t>
  </si>
  <si>
    <t>Step 2: Block C. Adjust base shares using factors from block B</t>
  </si>
  <si>
    <t>Step 3: Block D. Turn Block B adjusted base shares into percent.</t>
  </si>
  <si>
    <t>D: Base Share, Adjusted, out of 100%. Each factor now sums to 100% for region.</t>
  </si>
  <si>
    <t>Unincorporated</t>
  </si>
  <si>
    <t>Base Allocation</t>
  </si>
  <si>
    <t>Divergence</t>
  </si>
  <si>
    <t>A. Factors, original scale</t>
  </si>
  <si>
    <t>TOTAL</t>
  </si>
  <si>
    <t>Derived units</t>
  </si>
  <si>
    <t>Step 4: Apply Block D shares to RHND, split into each factor according to chosen weights</t>
  </si>
  <si>
    <t>Jurisdiction</t>
  </si>
  <si>
    <t>Step 1: Re-scale to .5 to 1.5 range, keeping relative city ranking</t>
  </si>
  <si>
    <t>Display Version</t>
  </si>
  <si>
    <t>Biggs</t>
  </si>
  <si>
    <t>Chico</t>
  </si>
  <si>
    <t>Gridley</t>
  </si>
  <si>
    <t>Oroville</t>
  </si>
  <si>
    <t>Paradise</t>
  </si>
  <si>
    <t>Regional Allocation</t>
  </si>
  <si>
    <t>Factor</t>
  </si>
  <si>
    <t>Factors and Weights</t>
  </si>
  <si>
    <t>Base Case</t>
  </si>
  <si>
    <t>Factor Adjusted Allocation</t>
  </si>
  <si>
    <t>Fire Allocation</t>
  </si>
  <si>
    <t>Jurisdiction's share of Base Case</t>
  </si>
  <si>
    <t>Transit Connectivity Index</t>
  </si>
  <si>
    <t>TCAC Opportunity Map Index</t>
  </si>
  <si>
    <t>Percent of Children Living Above Poverty Level</t>
  </si>
  <si>
    <t>Number of Jobs (2020)</t>
  </si>
  <si>
    <t>Lower-Risk Wildfire Zones (Percent of Area)</t>
  </si>
  <si>
    <t>Non-Agriculture and Forest Lands (Percent of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</si>
</sst>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2" fontId="0" fillId="0" borderId="0" xfId="0" applyNumberFormat="1" applyBorder="1"/>
    <xf numFmtId="0" fontId="0" fillId="0" borderId="0" xfId="0" applyFill="1" applyBorder="1"/>
    <xf numFmtId="0" fontId="1" fillId="0" borderId="1" xfId="0" applyFont="1" applyBorder="1" applyAlignment="1">
      <alignment horizontal="center" wrapText="1"/>
    </xf>
    <xf numFmtId="164" fontId="0" fillId="0" borderId="0" xfId="1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Fill="1" applyBorder="1"/>
    <xf numFmtId="2" fontId="0" fillId="0" borderId="1" xfId="0" applyNumberFormat="1" applyBorder="1"/>
    <xf numFmtId="0" fontId="1" fillId="0" borderId="1" xfId="0" applyFont="1" applyFill="1" applyBorder="1"/>
    <xf numFmtId="2" fontId="1" fillId="0" borderId="1" xfId="0" applyNumberFormat="1" applyFont="1" applyBorder="1"/>
    <xf numFmtId="0" fontId="1" fillId="0" borderId="0" xfId="0" applyFont="1" applyFill="1" applyBorder="1" applyAlignment="1">
      <alignment horizontal="left"/>
    </xf>
    <xf numFmtId="164" fontId="0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164" fontId="4" fillId="0" borderId="1" xfId="1" applyNumberFormat="1" applyFont="1" applyBorder="1"/>
    <xf numFmtId="165" fontId="4" fillId="0" borderId="1" xfId="2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Protection="1"/>
    <xf numFmtId="164" fontId="0" fillId="0" borderId="1" xfId="1" applyNumberFormat="1" applyFont="1" applyBorder="1" applyProtection="1"/>
    <xf numFmtId="164" fontId="0" fillId="0" borderId="1" xfId="2" applyNumberFormat="1" applyFont="1" applyBorder="1" applyProtection="1"/>
    <xf numFmtId="9" fontId="0" fillId="0" borderId="0" xfId="2" applyFont="1" applyBorder="1" applyAlignment="1" applyProtection="1">
      <alignment horizontal="center"/>
    </xf>
    <xf numFmtId="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0" fillId="0" borderId="1" xfId="0" applyBorder="1" applyProtection="1"/>
    <xf numFmtId="164" fontId="0" fillId="0" borderId="1" xfId="0" applyNumberFormat="1" applyFill="1" applyBorder="1" applyProtection="1"/>
    <xf numFmtId="0" fontId="1" fillId="0" borderId="1" xfId="0" applyFont="1" applyFill="1" applyBorder="1" applyProtection="1"/>
    <xf numFmtId="164" fontId="1" fillId="0" borderId="1" xfId="1" applyNumberFormat="1" applyFont="1" applyBorder="1" applyProtection="1"/>
    <xf numFmtId="164" fontId="1" fillId="0" borderId="1" xfId="0" applyNumberFormat="1" applyFont="1" applyBorder="1" applyProtection="1"/>
    <xf numFmtId="164" fontId="1" fillId="0" borderId="1" xfId="0" applyNumberFormat="1" applyFont="1" applyFill="1" applyBorder="1" applyProtection="1"/>
    <xf numFmtId="1" fontId="0" fillId="0" borderId="0" xfId="0" applyNumberFormat="1" applyProtection="1"/>
    <xf numFmtId="0" fontId="7" fillId="0" borderId="1" xfId="0" applyFont="1" applyBorder="1" applyAlignment="1" applyProtection="1">
      <alignment horizontal="center" wrapText="1"/>
    </xf>
    <xf numFmtId="9" fontId="6" fillId="5" borderId="1" xfId="2" applyFont="1" applyFill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left"/>
    </xf>
    <xf numFmtId="9" fontId="6" fillId="0" borderId="0" xfId="2" applyFont="1" applyFill="1" applyBorder="1" applyProtection="1"/>
    <xf numFmtId="0" fontId="1" fillId="0" borderId="0" xfId="0" applyFont="1" applyBorder="1" applyAlignment="1" applyProtection="1">
      <alignment wrapText="1"/>
    </xf>
    <xf numFmtId="0" fontId="7" fillId="0" borderId="1" xfId="0" applyFont="1" applyBorder="1" applyAlignment="1" applyProtection="1">
      <alignment wrapText="1"/>
    </xf>
    <xf numFmtId="0" fontId="7" fillId="0" borderId="1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6" fillId="0" borderId="1" xfId="0" applyFont="1" applyBorder="1" applyAlignment="1" applyProtection="1"/>
    <xf numFmtId="164" fontId="6" fillId="0" borderId="1" xfId="1" applyNumberFormat="1" applyFont="1" applyBorder="1" applyProtection="1"/>
    <xf numFmtId="164" fontId="6" fillId="0" borderId="1" xfId="0" applyNumberFormat="1" applyFont="1" applyFill="1" applyBorder="1" applyProtection="1"/>
    <xf numFmtId="164" fontId="6" fillId="0" borderId="1" xfId="0" applyNumberFormat="1" applyFont="1" applyBorder="1" applyProtection="1"/>
    <xf numFmtId="0" fontId="6" fillId="5" borderId="1" xfId="0" applyFont="1" applyFill="1" applyBorder="1" applyAlignment="1" applyProtection="1"/>
    <xf numFmtId="164" fontId="6" fillId="5" borderId="1" xfId="1" applyNumberFormat="1" applyFont="1" applyFill="1" applyBorder="1" applyProtection="1"/>
    <xf numFmtId="164" fontId="6" fillId="5" borderId="1" xfId="0" applyNumberFormat="1" applyFont="1" applyFill="1" applyBorder="1" applyProtection="1"/>
    <xf numFmtId="0" fontId="1" fillId="0" borderId="0" xfId="0" applyFont="1" applyBorder="1" applyAlignment="1" applyProtection="1"/>
    <xf numFmtId="0" fontId="7" fillId="0" borderId="1" xfId="0" applyFont="1" applyBorder="1" applyAlignment="1" applyProtection="1"/>
    <xf numFmtId="164" fontId="7" fillId="0" borderId="1" xfId="1" applyNumberFormat="1" applyFont="1" applyBorder="1" applyProtection="1"/>
    <xf numFmtId="164" fontId="7" fillId="0" borderId="1" xfId="0" applyNumberFormat="1" applyFont="1" applyFill="1" applyBorder="1" applyProtection="1"/>
    <xf numFmtId="164" fontId="7" fillId="0" borderId="1" xfId="0" applyNumberFormat="1" applyFont="1" applyBorder="1" applyProtection="1"/>
    <xf numFmtId="0" fontId="0" fillId="0" borderId="0" xfId="0" applyFill="1" applyProtection="1"/>
    <xf numFmtId="9" fontId="0" fillId="0" borderId="1" xfId="2" applyFont="1" applyBorder="1" applyProtection="1"/>
    <xf numFmtId="0" fontId="1" fillId="2" borderId="0" xfId="0" applyFont="1" applyFill="1" applyBorder="1" applyProtection="1"/>
    <xf numFmtId="0" fontId="0" fillId="2" borderId="0" xfId="0" applyFill="1" applyBorder="1" applyProtection="1"/>
    <xf numFmtId="164" fontId="1" fillId="0" borderId="0" xfId="1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1" fillId="0" borderId="0" xfId="0" applyFont="1" applyProtection="1"/>
    <xf numFmtId="166" fontId="0" fillId="0" borderId="0" xfId="0" applyNumberFormat="1" applyBorder="1"/>
    <xf numFmtId="1" fontId="7" fillId="0" borderId="0" xfId="0" applyNumberFormat="1" applyFont="1" applyBorder="1" applyAlignment="1" applyProtection="1">
      <alignment horizontal="center"/>
    </xf>
    <xf numFmtId="9" fontId="0" fillId="4" borderId="1" xfId="2" applyFont="1" applyFill="1" applyBorder="1" applyProtection="1">
      <protection locked="0"/>
    </xf>
    <xf numFmtId="0" fontId="1" fillId="0" borderId="3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1" fontId="7" fillId="0" borderId="1" xfId="0" applyNumberFormat="1" applyFont="1" applyBorder="1" applyAlignment="1" applyProtection="1">
      <alignment horizontal="center"/>
    </xf>
    <xf numFmtId="0" fontId="3" fillId="3" borderId="0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5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FF0FF"/>
      <color rgb="FF0092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C281-1374-46CD-AEC0-3AB6C159E052}">
  <sheetPr>
    <pageSetUpPr fitToPage="1"/>
  </sheetPr>
  <dimension ref="B1:J32"/>
  <sheetViews>
    <sheetView tabSelected="1" zoomScale="89" zoomScaleNormal="89" workbookViewId="0">
      <selection activeCell="E6" sqref="E6"/>
    </sheetView>
  </sheetViews>
  <sheetFormatPr defaultColWidth="10.88671875" defaultRowHeight="14.4" x14ac:dyDescent="0.3"/>
  <cols>
    <col min="1" max="1" width="2.5546875" style="22" customWidth="1"/>
    <col min="2" max="2" width="20.33203125" style="22" customWidth="1"/>
    <col min="3" max="3" width="19.33203125" style="22" customWidth="1"/>
    <col min="4" max="4" width="22.109375" style="22" customWidth="1"/>
    <col min="5" max="9" width="24.33203125" style="22" customWidth="1"/>
    <col min="10" max="10" width="18.88671875" style="22" customWidth="1"/>
    <col min="11" max="16384" width="10.88671875" style="22"/>
  </cols>
  <sheetData>
    <row r="1" spans="2:10" x14ac:dyDescent="0.3">
      <c r="B1" s="60" t="s">
        <v>14</v>
      </c>
      <c r="C1" s="61"/>
      <c r="D1" s="61"/>
      <c r="E1" s="61"/>
      <c r="F1" s="61"/>
      <c r="G1" s="61"/>
    </row>
    <row r="3" spans="2:10" x14ac:dyDescent="0.3">
      <c r="B3" s="70" t="s">
        <v>23</v>
      </c>
      <c r="C3" s="70"/>
      <c r="D3" s="62">
        <v>6703</v>
      </c>
      <c r="E3" s="63"/>
      <c r="F3" s="63"/>
      <c r="G3" s="63"/>
    </row>
    <row r="4" spans="2:10" x14ac:dyDescent="0.3">
      <c r="B4" s="64"/>
      <c r="E4" s="63"/>
      <c r="F4" s="63"/>
      <c r="G4" s="63"/>
    </row>
    <row r="5" spans="2:10" ht="28.8" x14ac:dyDescent="0.3">
      <c r="B5" s="68" t="s">
        <v>24</v>
      </c>
      <c r="C5" s="69"/>
      <c r="D5" s="28" t="str">
        <f>Factors!D3</f>
        <v>TCAC Opportunity Map Index</v>
      </c>
      <c r="E5" s="28" t="str">
        <f>Factors!E3</f>
        <v>Percent of Children Living Above Poverty Level</v>
      </c>
      <c r="F5" s="28" t="str">
        <f>Factors!F3</f>
        <v>Transit Connectivity Index</v>
      </c>
      <c r="G5" s="28" t="str">
        <f>Factors!G3</f>
        <v>Number of Jobs (2020)</v>
      </c>
      <c r="H5" s="28" t="str">
        <f>Factors!H3</f>
        <v>Lower-Risk Wildfire Zones (Percent of Area)</v>
      </c>
      <c r="I5" s="28" t="str">
        <f>Factors!I3</f>
        <v>Non-Agriculture and Forest Lands (Percent of Area)</v>
      </c>
      <c r="J5" s="30"/>
    </row>
    <row r="6" spans="2:10" x14ac:dyDescent="0.3">
      <c r="B6" s="71" t="s">
        <v>4</v>
      </c>
      <c r="C6" s="71"/>
      <c r="D6" s="67">
        <v>0.05</v>
      </c>
      <c r="E6" s="67">
        <v>0</v>
      </c>
      <c r="F6" s="67">
        <v>0.05</v>
      </c>
      <c r="G6" s="67">
        <v>0.05</v>
      </c>
      <c r="H6" s="67">
        <v>0.8</v>
      </c>
      <c r="I6" s="67">
        <v>0.05</v>
      </c>
      <c r="J6" s="59">
        <f>SUM(D6:I6)</f>
        <v>1</v>
      </c>
    </row>
    <row r="7" spans="2:10" x14ac:dyDescent="0.3">
      <c r="B7" s="71" t="s">
        <v>13</v>
      </c>
      <c r="C7" s="71"/>
      <c r="D7" s="23">
        <f>+D6*$D3</f>
        <v>335.15000000000003</v>
      </c>
      <c r="E7" s="23">
        <f>+E6*$D3</f>
        <v>0</v>
      </c>
      <c r="F7" s="23">
        <f>+F6*$D3</f>
        <v>335.15000000000003</v>
      </c>
      <c r="G7" s="23">
        <f>+G6*$D3</f>
        <v>335.15000000000003</v>
      </c>
      <c r="H7" s="23">
        <f t="shared" ref="H7:I7" si="0">+H6*$D3</f>
        <v>5362.4000000000005</v>
      </c>
      <c r="I7" s="23">
        <f t="shared" si="0"/>
        <v>335.15000000000003</v>
      </c>
      <c r="J7" s="24">
        <f>SUM(D7:I7)</f>
        <v>6703</v>
      </c>
    </row>
    <row r="8" spans="2:10" ht="13.95" customHeight="1" x14ac:dyDescent="0.3">
      <c r="C8" s="25"/>
      <c r="D8" s="26"/>
      <c r="E8" s="27"/>
    </row>
    <row r="9" spans="2:10" ht="43.5" customHeight="1" x14ac:dyDescent="0.3">
      <c r="B9" s="28" t="s">
        <v>15</v>
      </c>
      <c r="C9" s="28" t="s">
        <v>9</v>
      </c>
      <c r="D9" s="28" t="str">
        <f>D5</f>
        <v>TCAC Opportunity Map Index</v>
      </c>
      <c r="E9" s="28" t="str">
        <f t="shared" ref="E9:I9" si="1">E5</f>
        <v>Percent of Children Living Above Poverty Level</v>
      </c>
      <c r="F9" s="28" t="str">
        <f t="shared" si="1"/>
        <v>Transit Connectivity Index</v>
      </c>
      <c r="G9" s="28" t="str">
        <f>G5</f>
        <v>Number of Jobs (2020)</v>
      </c>
      <c r="H9" s="28" t="str">
        <f t="shared" si="1"/>
        <v>Lower-Risk Wildfire Zones (Percent of Area)</v>
      </c>
      <c r="I9" s="28" t="str">
        <f t="shared" si="1"/>
        <v>Non-Agriculture and Forest Lands (Percent of Area)</v>
      </c>
      <c r="J9" s="29" t="s">
        <v>27</v>
      </c>
    </row>
    <row r="10" spans="2:10" x14ac:dyDescent="0.3">
      <c r="B10" s="30" t="s">
        <v>18</v>
      </c>
      <c r="C10" s="23">
        <v>87</v>
      </c>
      <c r="D10" s="23">
        <f>Factors!D37*D$7</f>
        <v>3.7023801634738067</v>
      </c>
      <c r="E10" s="23">
        <f>Factors!E37*E$7</f>
        <v>0</v>
      </c>
      <c r="F10" s="23">
        <f>Factors!F37*F$7</f>
        <v>2.3878360756941999</v>
      </c>
      <c r="G10" s="23">
        <f>Factors!G37*G$7</f>
        <v>2.0517128291649236</v>
      </c>
      <c r="H10" s="23">
        <f>Factors!H37*H$7</f>
        <v>81.088995461619049</v>
      </c>
      <c r="I10" s="23">
        <f>Factors!I37*I$7</f>
        <v>6.0324650785816898</v>
      </c>
      <c r="J10" s="31">
        <f t="shared" ref="J10:J16" si="2">SUM(D10:I10)</f>
        <v>95.263389608533672</v>
      </c>
    </row>
    <row r="11" spans="2:10" x14ac:dyDescent="0.3">
      <c r="B11" s="30" t="s">
        <v>19</v>
      </c>
      <c r="C11" s="23">
        <v>3016</v>
      </c>
      <c r="D11" s="23">
        <f>Factors!D38*D$7</f>
        <v>224.7687553808141</v>
      </c>
      <c r="E11" s="23">
        <f>Factors!E38*E$7</f>
        <v>0</v>
      </c>
      <c r="F11" s="23">
        <f>Factors!F38*F$7</f>
        <v>219.68091896386636</v>
      </c>
      <c r="G11" s="23">
        <f>Factors!G38*G$7</f>
        <v>213.37813423315205</v>
      </c>
      <c r="H11" s="23">
        <f>Factors!H38*H$7</f>
        <v>2775.1989822665873</v>
      </c>
      <c r="I11" s="23">
        <f>Factors!I38*I$7</f>
        <v>182.46424262004194</v>
      </c>
      <c r="J11" s="31">
        <f t="shared" si="2"/>
        <v>3615.4910334644619</v>
      </c>
    </row>
    <row r="12" spans="2:10" x14ac:dyDescent="0.3">
      <c r="B12" s="30" t="s">
        <v>20</v>
      </c>
      <c r="C12" s="23">
        <v>362</v>
      </c>
      <c r="D12" s="23">
        <f>Factors!D39*D$7</f>
        <v>15.642721471386906</v>
      </c>
      <c r="E12" s="23">
        <f>Factors!E39*E$7</f>
        <v>0</v>
      </c>
      <c r="F12" s="23">
        <f>Factors!F39*F$7</f>
        <v>11.464146676409817</v>
      </c>
      <c r="G12" s="23">
        <f>Factors!G39*G$7</f>
        <v>9.2391233539749731</v>
      </c>
      <c r="H12" s="23">
        <f>Factors!H39*H$7</f>
        <v>337.40478571386308</v>
      </c>
      <c r="I12" s="23">
        <f>Factors!I39*I$7</f>
        <v>23.605642817820069</v>
      </c>
      <c r="J12" s="31">
        <f t="shared" si="2"/>
        <v>397.35642003345487</v>
      </c>
    </row>
    <row r="13" spans="2:10" x14ac:dyDescent="0.3">
      <c r="B13" s="30" t="s">
        <v>21</v>
      </c>
      <c r="C13" s="23">
        <v>650</v>
      </c>
      <c r="D13" s="23">
        <f>Factors!D40*D$7</f>
        <v>25.368805884895608</v>
      </c>
      <c r="E13" s="23">
        <f>Factors!E40*E$7</f>
        <v>0</v>
      </c>
      <c r="F13" s="23">
        <f>Factors!F40*F$7</f>
        <v>33.621829801441322</v>
      </c>
      <c r="G13" s="23">
        <f>Factors!G40*G$7</f>
        <v>23.238434234261611</v>
      </c>
      <c r="H13" s="23">
        <f>Factors!H40*H$7</f>
        <v>588.22077615979208</v>
      </c>
      <c r="I13" s="23">
        <f>Factors!I40*I$7</f>
        <v>41.825242137046459</v>
      </c>
      <c r="J13" s="31">
        <f t="shared" si="2"/>
        <v>712.27508821743709</v>
      </c>
    </row>
    <row r="14" spans="2:10" x14ac:dyDescent="0.3">
      <c r="B14" s="30" t="s">
        <v>22</v>
      </c>
      <c r="C14" s="23">
        <v>376</v>
      </c>
      <c r="D14" s="23">
        <f>Factors!D41*D$7</f>
        <v>10.717239077506459</v>
      </c>
      <c r="E14" s="23">
        <f>Factors!E41*E$7</f>
        <v>0</v>
      </c>
      <c r="F14" s="23">
        <f>Factors!F41*F$7</f>
        <v>14.289013758000303</v>
      </c>
      <c r="G14" s="23">
        <f>Factors!G41*G$7</f>
        <v>10.31086370748792</v>
      </c>
      <c r="H14" s="23">
        <f>Factors!H41*H$7</f>
        <v>116.81786319375006</v>
      </c>
      <c r="I14" s="23">
        <f>Factors!I41*I$7</f>
        <v>27.430801043971009</v>
      </c>
      <c r="J14" s="31">
        <f t="shared" si="2"/>
        <v>179.56578078071576</v>
      </c>
    </row>
    <row r="15" spans="2:10" x14ac:dyDescent="0.3">
      <c r="B15" s="30" t="s">
        <v>8</v>
      </c>
      <c r="C15" s="23">
        <v>2212</v>
      </c>
      <c r="D15" s="23">
        <f>Factors!D42*D$7</f>
        <v>54.950098021923168</v>
      </c>
      <c r="E15" s="23">
        <f>Factors!E42*E$7</f>
        <v>0</v>
      </c>
      <c r="F15" s="23">
        <f>Factors!F42*F$7</f>
        <v>53.706254724588021</v>
      </c>
      <c r="G15" s="23">
        <f>Factors!G42*G$7</f>
        <v>76.931731641958592</v>
      </c>
      <c r="H15" s="23">
        <f>Factors!H42*H$7</f>
        <v>1463.668597204389</v>
      </c>
      <c r="I15" s="23">
        <f>Factors!I42*I$7</f>
        <v>53.791606302538888</v>
      </c>
      <c r="J15" s="31">
        <f t="shared" si="2"/>
        <v>1703.0482878953976</v>
      </c>
    </row>
    <row r="16" spans="2:10" x14ac:dyDescent="0.3">
      <c r="B16" s="32" t="s">
        <v>12</v>
      </c>
      <c r="C16" s="33">
        <v>6703</v>
      </c>
      <c r="D16" s="34">
        <f>SUM(D10:D15)</f>
        <v>335.15000000000003</v>
      </c>
      <c r="E16" s="34">
        <f>SUM(E10:E15)</f>
        <v>0</v>
      </c>
      <c r="F16" s="34">
        <f>SUM(F10:F15)</f>
        <v>335.15000000000003</v>
      </c>
      <c r="G16" s="34">
        <f>SUM(G10:G15)</f>
        <v>335.15000000000009</v>
      </c>
      <c r="H16" s="23">
        <f>Factors!H43*H$7</f>
        <v>5362.4000000000005</v>
      </c>
      <c r="I16" s="23">
        <f>Factors!I43*I$7</f>
        <v>335.15000000000003</v>
      </c>
      <c r="J16" s="35">
        <f t="shared" si="2"/>
        <v>6703</v>
      </c>
    </row>
    <row r="18" spans="2:10" x14ac:dyDescent="0.3">
      <c r="B18" s="22" t="s">
        <v>17</v>
      </c>
      <c r="D18" s="36"/>
      <c r="E18" s="36"/>
      <c r="F18" s="36"/>
      <c r="G18" s="36"/>
      <c r="H18" s="39"/>
      <c r="I18" s="39"/>
    </row>
    <row r="19" spans="2:10" ht="19.8" x14ac:dyDescent="0.4">
      <c r="B19" s="72" t="s">
        <v>25</v>
      </c>
      <c r="C19" s="72"/>
      <c r="D19" s="72"/>
      <c r="E19" s="72"/>
      <c r="F19" s="72"/>
      <c r="G19" s="72"/>
      <c r="H19" s="66"/>
      <c r="I19" s="66"/>
    </row>
    <row r="20" spans="2:10" ht="79.2" x14ac:dyDescent="0.4">
      <c r="B20" s="37" t="str">
        <f t="shared" ref="B20:G21" si="3">D5</f>
        <v>TCAC Opportunity Map Index</v>
      </c>
      <c r="C20" s="37" t="str">
        <f t="shared" si="3"/>
        <v>Percent of Children Living Above Poverty Level</v>
      </c>
      <c r="D20" s="37" t="str">
        <f t="shared" si="3"/>
        <v>Transit Connectivity Index</v>
      </c>
      <c r="E20" s="37" t="str">
        <f t="shared" si="3"/>
        <v>Number of Jobs (2020)</v>
      </c>
      <c r="F20" s="37" t="str">
        <f t="shared" si="3"/>
        <v>Lower-Risk Wildfire Zones (Percent of Area)</v>
      </c>
      <c r="G20" s="37" t="str">
        <f t="shared" si="3"/>
        <v>Non-Agriculture and Forest Lands (Percent of Area)</v>
      </c>
      <c r="H20" s="39"/>
      <c r="I20" s="39"/>
    </row>
    <row r="21" spans="2:10" ht="19.8" x14ac:dyDescent="0.4">
      <c r="B21" s="38">
        <f t="shared" si="3"/>
        <v>0.05</v>
      </c>
      <c r="C21" s="38">
        <f t="shared" si="3"/>
        <v>0</v>
      </c>
      <c r="D21" s="38">
        <f t="shared" si="3"/>
        <v>0.05</v>
      </c>
      <c r="E21" s="38">
        <f t="shared" si="3"/>
        <v>0.05</v>
      </c>
      <c r="F21" s="38">
        <f t="shared" si="3"/>
        <v>0.8</v>
      </c>
      <c r="G21" s="38">
        <f t="shared" si="3"/>
        <v>0.05</v>
      </c>
    </row>
    <row r="22" spans="2:10" s="39" customFormat="1" ht="19.8" x14ac:dyDescent="0.4">
      <c r="B22" s="40"/>
      <c r="C22" s="40"/>
      <c r="D22" s="41"/>
      <c r="E22" s="41"/>
      <c r="F22" s="41"/>
      <c r="G22" s="41"/>
      <c r="H22" s="41"/>
      <c r="I22" s="41"/>
    </row>
    <row r="23" spans="2:10" ht="43.5" customHeight="1" x14ac:dyDescent="0.4">
      <c r="C23" s="42"/>
      <c r="D23" s="43" t="s">
        <v>15</v>
      </c>
      <c r="E23" s="37" t="s">
        <v>9</v>
      </c>
      <c r="F23" s="44" t="s">
        <v>27</v>
      </c>
      <c r="G23" s="44" t="s">
        <v>10</v>
      </c>
      <c r="I23" s="44" t="s">
        <v>28</v>
      </c>
      <c r="J23" s="37" t="s">
        <v>2</v>
      </c>
    </row>
    <row r="24" spans="2:10" ht="19.8" x14ac:dyDescent="0.4">
      <c r="C24" s="45"/>
      <c r="D24" s="46" t="s">
        <v>18</v>
      </c>
      <c r="E24" s="47">
        <f t="shared" ref="E24:E29" si="4">C10</f>
        <v>87</v>
      </c>
      <c r="F24" s="48">
        <f t="shared" ref="F24:F30" si="5">J10</f>
        <v>95.263389608533672</v>
      </c>
      <c r="G24" s="48">
        <f>F24-E24</f>
        <v>8.2633896085336715</v>
      </c>
      <c r="I24" s="47">
        <v>0</v>
      </c>
      <c r="J24" s="49">
        <f t="shared" ref="J24:J30" si="6">SUM(F24,I24)</f>
        <v>95.263389608533672</v>
      </c>
    </row>
    <row r="25" spans="2:10" ht="19.8" x14ac:dyDescent="0.4">
      <c r="C25" s="45"/>
      <c r="D25" s="50" t="s">
        <v>19</v>
      </c>
      <c r="E25" s="51">
        <f t="shared" si="4"/>
        <v>3016</v>
      </c>
      <c r="F25" s="52">
        <f t="shared" si="5"/>
        <v>3615.4910334644619</v>
      </c>
      <c r="G25" s="52">
        <f t="shared" ref="G25:G30" si="7">F25-E25</f>
        <v>599.49103346446191</v>
      </c>
      <c r="I25" s="51">
        <v>0</v>
      </c>
      <c r="J25" s="52">
        <f t="shared" si="6"/>
        <v>3615.4910334644619</v>
      </c>
    </row>
    <row r="26" spans="2:10" ht="19.8" x14ac:dyDescent="0.4">
      <c r="C26" s="45"/>
      <c r="D26" s="46" t="s">
        <v>20</v>
      </c>
      <c r="E26" s="47">
        <f t="shared" si="4"/>
        <v>362</v>
      </c>
      <c r="F26" s="48">
        <f t="shared" si="5"/>
        <v>397.35642003345487</v>
      </c>
      <c r="G26" s="48">
        <f t="shared" si="7"/>
        <v>35.356420033454867</v>
      </c>
      <c r="I26" s="47">
        <v>0</v>
      </c>
      <c r="J26" s="49">
        <f t="shared" si="6"/>
        <v>397.35642003345487</v>
      </c>
    </row>
    <row r="27" spans="2:10" ht="19.8" x14ac:dyDescent="0.4">
      <c r="C27" s="45"/>
      <c r="D27" s="50" t="s">
        <v>21</v>
      </c>
      <c r="E27" s="51">
        <f t="shared" si="4"/>
        <v>650</v>
      </c>
      <c r="F27" s="52">
        <f t="shared" si="5"/>
        <v>712.27508821743709</v>
      </c>
      <c r="G27" s="52">
        <f t="shared" si="7"/>
        <v>62.275088217437087</v>
      </c>
      <c r="I27" s="51">
        <v>0</v>
      </c>
      <c r="J27" s="52">
        <f t="shared" si="6"/>
        <v>712.27508821743709</v>
      </c>
    </row>
    <row r="28" spans="2:10" ht="19.8" x14ac:dyDescent="0.4">
      <c r="C28" s="45"/>
      <c r="D28" s="46" t="s">
        <v>22</v>
      </c>
      <c r="E28" s="47">
        <f t="shared" si="4"/>
        <v>376</v>
      </c>
      <c r="F28" s="48">
        <f t="shared" si="5"/>
        <v>179.56578078071576</v>
      </c>
      <c r="G28" s="48">
        <f t="shared" si="7"/>
        <v>-196.43421921928424</v>
      </c>
      <c r="I28" s="47">
        <v>6838</v>
      </c>
      <c r="J28" s="49">
        <f t="shared" si="6"/>
        <v>7017.5657807807156</v>
      </c>
    </row>
    <row r="29" spans="2:10" ht="19.8" x14ac:dyDescent="0.4">
      <c r="C29" s="45"/>
      <c r="D29" s="50" t="s">
        <v>8</v>
      </c>
      <c r="E29" s="51">
        <f t="shared" si="4"/>
        <v>2212</v>
      </c>
      <c r="F29" s="52">
        <f t="shared" si="5"/>
        <v>1703.0482878953976</v>
      </c>
      <c r="G29" s="52">
        <f t="shared" si="7"/>
        <v>-508.95171210460239</v>
      </c>
      <c r="I29" s="51">
        <v>1965</v>
      </c>
      <c r="J29" s="52">
        <f t="shared" si="6"/>
        <v>3668.0482878953976</v>
      </c>
    </row>
    <row r="30" spans="2:10" ht="19.8" x14ac:dyDescent="0.4">
      <c r="C30" s="53"/>
      <c r="D30" s="54" t="s">
        <v>12</v>
      </c>
      <c r="E30" s="55">
        <f>SUM(E24:E29)</f>
        <v>6703</v>
      </c>
      <c r="F30" s="56">
        <f t="shared" si="5"/>
        <v>6703</v>
      </c>
      <c r="G30" s="48">
        <f t="shared" si="7"/>
        <v>0</v>
      </c>
      <c r="I30" s="55">
        <v>8803</v>
      </c>
      <c r="J30" s="57">
        <f t="shared" si="6"/>
        <v>15506</v>
      </c>
    </row>
    <row r="31" spans="2:10" x14ac:dyDescent="0.3">
      <c r="C31" s="39"/>
      <c r="E31" s="58"/>
      <c r="F31" s="58"/>
      <c r="G31" s="58"/>
      <c r="H31" s="39"/>
      <c r="I31" s="39"/>
    </row>
    <row r="32" spans="2:10" x14ac:dyDescent="0.3">
      <c r="E32" s="58"/>
      <c r="F32" s="58"/>
      <c r="G32" s="58"/>
    </row>
  </sheetData>
  <sheetProtection algorithmName="SHA-512" hashValue="IiEal6MRhyGWeAJ0m/m4jLIUsOrhVfzMrSPQMpOAZ3l5K9YWFOSjwx/Zdp46ZTLHnCv3Z+JW7Rf4rck+1FzEkw==" saltValue="mmY8pSAMKp3dfT8A8JmZOQ==" spinCount="100000" sheet="1" objects="1" scenarios="1"/>
  <mergeCells count="5">
    <mergeCell ref="B5:C5"/>
    <mergeCell ref="B3:C3"/>
    <mergeCell ref="B6:C6"/>
    <mergeCell ref="B7:C7"/>
    <mergeCell ref="B19:G19"/>
  </mergeCells>
  <conditionalFormatting sqref="D6:G7 H7:I7 D22:I22 B21:G21">
    <cfRule type="cellIs" dxfId="4" priority="6" operator="equal">
      <formula>1</formula>
    </cfRule>
    <cfRule type="cellIs" dxfId="3" priority="7" operator="equal">
      <formula>100</formula>
    </cfRule>
  </conditionalFormatting>
  <conditionalFormatting sqref="J6:J7">
    <cfRule type="cellIs" dxfId="2" priority="4" operator="equal">
      <formula>1</formula>
    </cfRule>
    <cfRule type="cellIs" dxfId="1" priority="5" operator="equal">
      <formula>100</formula>
    </cfRule>
  </conditionalFormatting>
  <conditionalFormatting sqref="J6">
    <cfRule type="cellIs" dxfId="0" priority="1" operator="greaterThan">
      <formula>1</formula>
    </cfRule>
  </conditionalFormatting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workbookViewId="0">
      <selection activeCell="K15" sqref="K15"/>
    </sheetView>
  </sheetViews>
  <sheetFormatPr defaultColWidth="8.6640625" defaultRowHeight="14.4" x14ac:dyDescent="0.3"/>
  <cols>
    <col min="1" max="1" width="14.33203125" style="1" customWidth="1"/>
    <col min="2" max="3" width="14.6640625" style="2" customWidth="1"/>
    <col min="4" max="9" width="13.33203125" style="1" customWidth="1"/>
    <col min="10" max="10" width="8.6640625" style="1"/>
    <col min="11" max="11" width="8.6640625" style="1" customWidth="1"/>
    <col min="12" max="16384" width="8.6640625" style="1"/>
  </cols>
  <sheetData>
    <row r="1" spans="1:9" ht="17.399999999999999" x14ac:dyDescent="0.35">
      <c r="A1" s="73" t="s">
        <v>3</v>
      </c>
      <c r="B1" s="73"/>
      <c r="C1" s="73"/>
      <c r="D1" s="73"/>
      <c r="E1" s="73"/>
      <c r="F1" s="73"/>
      <c r="G1" s="73"/>
      <c r="H1" s="73"/>
      <c r="I1" s="73"/>
    </row>
    <row r="2" spans="1:9" x14ac:dyDescent="0.3">
      <c r="A2" s="76" t="s">
        <v>11</v>
      </c>
      <c r="B2" s="76"/>
      <c r="C2" s="76"/>
      <c r="D2" s="76"/>
      <c r="E2" s="76"/>
      <c r="F2" s="76"/>
      <c r="G2" s="76"/>
    </row>
    <row r="3" spans="1:9" ht="14.25" customHeight="1" x14ac:dyDescent="0.3">
      <c r="A3" s="78" t="s">
        <v>15</v>
      </c>
      <c r="B3" s="79" t="s">
        <v>9</v>
      </c>
      <c r="C3" s="80"/>
      <c r="D3" s="81" t="s">
        <v>31</v>
      </c>
      <c r="E3" s="84" t="s">
        <v>32</v>
      </c>
      <c r="F3" s="81" t="s">
        <v>30</v>
      </c>
      <c r="G3" s="81" t="s">
        <v>33</v>
      </c>
      <c r="H3" s="81" t="s">
        <v>34</v>
      </c>
      <c r="I3" s="81" t="s">
        <v>35</v>
      </c>
    </row>
    <row r="4" spans="1:9" s="3" customFormat="1" ht="56.25" customHeight="1" x14ac:dyDescent="0.3">
      <c r="A4" s="78"/>
      <c r="B4" s="8" t="s">
        <v>26</v>
      </c>
      <c r="C4" s="8" t="s">
        <v>29</v>
      </c>
      <c r="D4" s="82"/>
      <c r="E4" s="85"/>
      <c r="F4" s="82"/>
      <c r="G4" s="82"/>
      <c r="H4" s="82"/>
      <c r="I4" s="82"/>
    </row>
    <row r="5" spans="1:9" x14ac:dyDescent="0.3">
      <c r="A5" s="9" t="s">
        <v>18</v>
      </c>
      <c r="B5" s="15">
        <v>87</v>
      </c>
      <c r="C5" s="11">
        <f t="shared" ref="C5:C11" si="0">+B5/B$11</f>
        <v>1.297926301655975E-2</v>
      </c>
      <c r="D5" s="18">
        <v>-4.8715446181499998E-2</v>
      </c>
      <c r="E5" s="20">
        <v>0.71899999999999997</v>
      </c>
      <c r="F5" s="18">
        <v>0.8</v>
      </c>
      <c r="G5" s="19">
        <v>237</v>
      </c>
      <c r="H5" s="20">
        <v>1</v>
      </c>
      <c r="I5" s="20">
        <v>0.87919999999999998</v>
      </c>
    </row>
    <row r="6" spans="1:9" x14ac:dyDescent="0.3">
      <c r="A6" s="9" t="s">
        <v>19</v>
      </c>
      <c r="B6" s="15">
        <v>3016</v>
      </c>
      <c r="C6" s="11">
        <f t="shared" si="0"/>
        <v>0.44994778457407131</v>
      </c>
      <c r="D6" s="18">
        <v>13.140852286499999</v>
      </c>
      <c r="E6" s="20">
        <v>0.79900000000000004</v>
      </c>
      <c r="F6" s="18">
        <v>5.0999999999999996</v>
      </c>
      <c r="G6" s="19">
        <v>49238</v>
      </c>
      <c r="H6" s="20">
        <v>0.98199999999999998</v>
      </c>
      <c r="I6" s="20">
        <v>0.77259999999999995</v>
      </c>
    </row>
    <row r="7" spans="1:9" x14ac:dyDescent="0.3">
      <c r="A7" s="9" t="s">
        <v>20</v>
      </c>
      <c r="B7" s="15">
        <v>362</v>
      </c>
      <c r="C7" s="11">
        <f t="shared" si="0"/>
        <v>5.4005669103386542E-2</v>
      </c>
      <c r="D7" s="18">
        <v>0.22186548442699999</v>
      </c>
      <c r="E7" s="20">
        <v>0.78700000000000003</v>
      </c>
      <c r="F7" s="18">
        <v>1.2</v>
      </c>
      <c r="G7" s="19">
        <v>2252</v>
      </c>
      <c r="H7" s="20">
        <v>1</v>
      </c>
      <c r="I7" s="20">
        <v>0.82940000000000003</v>
      </c>
    </row>
    <row r="8" spans="1:9" x14ac:dyDescent="0.3">
      <c r="A8" s="9" t="s">
        <v>21</v>
      </c>
      <c r="B8" s="15">
        <v>650</v>
      </c>
      <c r="C8" s="11">
        <f t="shared" si="0"/>
        <v>9.697150529613606E-2</v>
      </c>
      <c r="D8" s="18">
        <v>-1.5039133179499999</v>
      </c>
      <c r="E8" s="20">
        <v>0.65200000000000002</v>
      </c>
      <c r="F8" s="18">
        <v>3.1</v>
      </c>
      <c r="G8" s="19">
        <v>12879</v>
      </c>
      <c r="H8" s="20">
        <v>0.95899999999999996</v>
      </c>
      <c r="I8" s="20">
        <v>0.81899999999999995</v>
      </c>
    </row>
    <row r="9" spans="1:9" x14ac:dyDescent="0.3">
      <c r="A9" s="9" t="s">
        <v>22</v>
      </c>
      <c r="B9" s="15">
        <v>376</v>
      </c>
      <c r="C9" s="11">
        <f t="shared" si="0"/>
        <v>5.6094286140534091E-2</v>
      </c>
      <c r="D9" s="18">
        <v>-5.8464656118700002</v>
      </c>
      <c r="E9" s="20">
        <v>0.85799999999999998</v>
      </c>
      <c r="F9" s="18">
        <v>1.8</v>
      </c>
      <c r="G9" s="19">
        <v>4226</v>
      </c>
      <c r="H9" s="20">
        <v>6.0000000000000053E-2</v>
      </c>
      <c r="I9" s="20">
        <v>0.92279999999999995</v>
      </c>
    </row>
    <row r="10" spans="1:9" x14ac:dyDescent="0.3">
      <c r="A10" s="9" t="s">
        <v>8</v>
      </c>
      <c r="B10" s="15">
        <v>2212</v>
      </c>
      <c r="C10" s="11">
        <f t="shared" si="0"/>
        <v>0.33000149186931227</v>
      </c>
      <c r="D10" s="18">
        <v>-7.3570786287600001</v>
      </c>
      <c r="E10" s="20">
        <v>0.81111613194758247</v>
      </c>
      <c r="F10" s="18">
        <v>0.5</v>
      </c>
      <c r="G10" s="19">
        <v>11869</v>
      </c>
      <c r="H10" s="20">
        <v>0.59099999999999997</v>
      </c>
      <c r="I10" s="20">
        <v>0.33630000000000004</v>
      </c>
    </row>
    <row r="11" spans="1:9" x14ac:dyDescent="0.3">
      <c r="A11" s="12" t="s">
        <v>12</v>
      </c>
      <c r="B11" s="16">
        <v>6703</v>
      </c>
      <c r="C11" s="13">
        <f t="shared" si="0"/>
        <v>1</v>
      </c>
      <c r="D11" s="11"/>
      <c r="E11" s="11"/>
      <c r="F11" s="9"/>
      <c r="G11" s="19"/>
      <c r="H11" s="9"/>
      <c r="I11" s="9"/>
    </row>
    <row r="12" spans="1:9" x14ac:dyDescent="0.3">
      <c r="B12" s="7"/>
      <c r="C12" s="4"/>
    </row>
    <row r="13" spans="1:9" ht="17.399999999999999" x14ac:dyDescent="0.35">
      <c r="A13" s="75" t="s">
        <v>16</v>
      </c>
      <c r="B13" s="75"/>
      <c r="C13" s="75"/>
      <c r="D13" s="75"/>
      <c r="E13" s="75"/>
      <c r="F13" s="75"/>
      <c r="G13" s="75"/>
      <c r="H13" s="75"/>
      <c r="I13" s="75"/>
    </row>
    <row r="14" spans="1:9" x14ac:dyDescent="0.3">
      <c r="A14" s="76" t="s">
        <v>0</v>
      </c>
      <c r="B14" s="76"/>
      <c r="C14" s="76"/>
      <c r="D14" s="76"/>
      <c r="E14" s="76"/>
      <c r="F14" s="76"/>
      <c r="G14" s="76"/>
    </row>
    <row r="15" spans="1:9" ht="86.4" x14ac:dyDescent="0.3">
      <c r="A15" s="78" t="s">
        <v>15</v>
      </c>
      <c r="B15" s="78"/>
      <c r="C15" s="78"/>
      <c r="D15" s="17" t="str">
        <f t="shared" ref="D15:I15" si="1">D3</f>
        <v>TCAC Opportunity Map Index</v>
      </c>
      <c r="E15" s="6" t="str">
        <f t="shared" si="1"/>
        <v>Percent of Children Living Above Poverty Level</v>
      </c>
      <c r="F15" s="17" t="str">
        <f t="shared" si="1"/>
        <v>Transit Connectivity Index</v>
      </c>
      <c r="G15" s="17" t="str">
        <f t="shared" si="1"/>
        <v>Number of Jobs (2020)</v>
      </c>
      <c r="H15" s="17" t="str">
        <f t="shared" si="1"/>
        <v>Lower-Risk Wildfire Zones (Percent of Area)</v>
      </c>
      <c r="I15" s="17" t="str">
        <f t="shared" si="1"/>
        <v>Non-Agriculture and Forest Lands (Percent of Area)</v>
      </c>
    </row>
    <row r="16" spans="1:9" x14ac:dyDescent="0.3">
      <c r="A16" s="83" t="s">
        <v>18</v>
      </c>
      <c r="B16" s="83"/>
      <c r="C16" s="83"/>
      <c r="D16" s="10">
        <f>0.5+(1.5-0.5)*(D5-MIN(D$5:D$10))/(MAX(D$5:D$10)-MIN(D$5:D$10))</f>
        <v>0.85654150717903321</v>
      </c>
      <c r="E16" s="10">
        <f t="shared" ref="D16:G21" si="2">0.5+(1.5-0.5)*(E5-MIN(E$5:E$10))/(MAX(E$5:E$10)-MIN(E$5:E$10))</f>
        <v>0.8252427184466018</v>
      </c>
      <c r="F16" s="10">
        <f t="shared" si="2"/>
        <v>0.56521739130434789</v>
      </c>
      <c r="G16" s="11">
        <f t="shared" si="2"/>
        <v>0.5</v>
      </c>
      <c r="H16" s="11">
        <f t="shared" ref="H16:I16" si="3">0.5+(1.5-0.5)*(H5-MIN(H$5:H$10))/(MAX(H$5:H$10)-MIN(H$5:H$10))</f>
        <v>1.5</v>
      </c>
      <c r="I16" s="11">
        <f t="shared" si="3"/>
        <v>1.4256606990622336</v>
      </c>
    </row>
    <row r="17" spans="1:9" s="5" customFormat="1" x14ac:dyDescent="0.3">
      <c r="A17" s="83" t="s">
        <v>19</v>
      </c>
      <c r="B17" s="83"/>
      <c r="C17" s="83"/>
      <c r="D17" s="10">
        <f t="shared" si="2"/>
        <v>1.5</v>
      </c>
      <c r="E17" s="10">
        <f t="shared" si="2"/>
        <v>1.2135922330097091</v>
      </c>
      <c r="F17" s="10">
        <f t="shared" si="2"/>
        <v>1.5</v>
      </c>
      <c r="G17" s="10">
        <f t="shared" si="2"/>
        <v>1.5</v>
      </c>
      <c r="H17" s="10">
        <f t="shared" ref="H17:I17" si="4">0.5+(1.5-0.5)*(H6-MIN(H$5:H$10))/(MAX(H$5:H$10)-MIN(H$5:H$10))</f>
        <v>1.4808510638297872</v>
      </c>
      <c r="I17" s="10">
        <f t="shared" si="4"/>
        <v>1.2439045183290707</v>
      </c>
    </row>
    <row r="18" spans="1:9" s="5" customFormat="1" x14ac:dyDescent="0.3">
      <c r="A18" s="83" t="s">
        <v>20</v>
      </c>
      <c r="B18" s="83"/>
      <c r="C18" s="83"/>
      <c r="D18" s="10">
        <f t="shared" si="2"/>
        <v>0.86974190929411022</v>
      </c>
      <c r="E18" s="10">
        <f t="shared" si="2"/>
        <v>1.1553398058252429</v>
      </c>
      <c r="F18" s="10">
        <f t="shared" si="2"/>
        <v>0.65217391304347827</v>
      </c>
      <c r="G18" s="10">
        <f t="shared" si="2"/>
        <v>0.541121609763066</v>
      </c>
      <c r="H18" s="10">
        <f t="shared" ref="H18:I18" si="5">0.5+(1.5-0.5)*(H7-MIN(H$5:H$10))/(MAX(H$5:H$10)-MIN(H$5:H$10))</f>
        <v>1.5</v>
      </c>
      <c r="I18" s="10">
        <f t="shared" si="5"/>
        <v>1.3407502131287299</v>
      </c>
    </row>
    <row r="19" spans="1:9" s="5" customFormat="1" x14ac:dyDescent="0.3">
      <c r="A19" s="83" t="s">
        <v>21</v>
      </c>
      <c r="B19" s="83"/>
      <c r="C19" s="83"/>
      <c r="D19" s="10">
        <f t="shared" si="2"/>
        <v>0.78554907980749034</v>
      </c>
      <c r="E19" s="10">
        <f t="shared" si="2"/>
        <v>0.5</v>
      </c>
      <c r="F19" s="10">
        <f t="shared" si="2"/>
        <v>1.0652173913043479</v>
      </c>
      <c r="G19" s="10">
        <f t="shared" si="2"/>
        <v>0.75799473480133051</v>
      </c>
      <c r="H19" s="10">
        <f t="shared" ref="H19:I19" si="6">0.5+(1.5-0.5)*(H8-MIN(H$5:H$10))/(MAX(H$5:H$10)-MIN(H$5:H$10))</f>
        <v>1.4563829787234042</v>
      </c>
      <c r="I19" s="10">
        <f t="shared" si="6"/>
        <v>1.3230179028132993</v>
      </c>
    </row>
    <row r="20" spans="1:9" s="5" customFormat="1" x14ac:dyDescent="0.3">
      <c r="A20" s="83" t="s">
        <v>22</v>
      </c>
      <c r="B20" s="83"/>
      <c r="C20" s="83"/>
      <c r="D20" s="10">
        <f t="shared" si="2"/>
        <v>0.57369587804422739</v>
      </c>
      <c r="E20" s="10">
        <f t="shared" si="2"/>
        <v>1.5</v>
      </c>
      <c r="F20" s="10">
        <f t="shared" si="2"/>
        <v>0.78260869565217395</v>
      </c>
      <c r="G20" s="10">
        <f t="shared" si="2"/>
        <v>0.58140650190812426</v>
      </c>
      <c r="H20" s="10">
        <f t="shared" ref="H20:I20" si="7">0.5+(1.5-0.5)*(H9-MIN(H$5:H$10))/(MAX(H$5:H$10)-MIN(H$5:H$10))</f>
        <v>0.5</v>
      </c>
      <c r="I20" s="10">
        <f t="shared" si="7"/>
        <v>1.5</v>
      </c>
    </row>
    <row r="21" spans="1:9" s="5" customFormat="1" x14ac:dyDescent="0.3">
      <c r="A21" s="83" t="s">
        <v>8</v>
      </c>
      <c r="B21" s="83"/>
      <c r="C21" s="83"/>
      <c r="D21" s="10">
        <f t="shared" si="2"/>
        <v>0.5</v>
      </c>
      <c r="E21" s="10">
        <f t="shared" si="2"/>
        <v>1.2724084075125364</v>
      </c>
      <c r="F21" s="10">
        <f t="shared" si="2"/>
        <v>0.5</v>
      </c>
      <c r="G21" s="10">
        <f t="shared" si="2"/>
        <v>0.73738291055284588</v>
      </c>
      <c r="H21" s="10">
        <f t="shared" ref="H21:I21" si="8">0.5+(1.5-0.5)*(H10-MIN(H$5:H$10))/(MAX(H$5:H$10)-MIN(H$5:H$10))</f>
        <v>1.0648936170212764</v>
      </c>
      <c r="I21" s="10">
        <f t="shared" si="8"/>
        <v>0.5</v>
      </c>
    </row>
    <row r="22" spans="1:9" x14ac:dyDescent="0.3">
      <c r="A22" s="5"/>
      <c r="B22" s="14"/>
      <c r="C22" s="14"/>
      <c r="D22" s="4"/>
      <c r="E22" s="4"/>
    </row>
    <row r="23" spans="1:9" ht="17.399999999999999" x14ac:dyDescent="0.35">
      <c r="A23" s="74" t="s">
        <v>5</v>
      </c>
      <c r="B23" s="74"/>
      <c r="C23" s="74"/>
      <c r="D23" s="74"/>
      <c r="E23" s="74"/>
      <c r="F23" s="74"/>
      <c r="G23" s="74"/>
      <c r="H23" s="74"/>
      <c r="I23" s="74"/>
    </row>
    <row r="24" spans="1:9" x14ac:dyDescent="0.3">
      <c r="A24" s="77" t="s">
        <v>1</v>
      </c>
      <c r="B24" s="77"/>
      <c r="C24" s="77"/>
      <c r="D24" s="77"/>
      <c r="E24" s="77"/>
      <c r="F24" s="77"/>
      <c r="G24" s="77"/>
    </row>
    <row r="25" spans="1:9" ht="86.4" x14ac:dyDescent="0.3">
      <c r="A25" s="78" t="s">
        <v>15</v>
      </c>
      <c r="B25" s="78"/>
      <c r="C25" s="78"/>
      <c r="D25" s="17" t="str">
        <f t="shared" ref="D25:I25" si="9">D3</f>
        <v>TCAC Opportunity Map Index</v>
      </c>
      <c r="E25" s="6" t="str">
        <f t="shared" si="9"/>
        <v>Percent of Children Living Above Poverty Level</v>
      </c>
      <c r="F25" s="17" t="str">
        <f t="shared" si="9"/>
        <v>Transit Connectivity Index</v>
      </c>
      <c r="G25" s="17" t="str">
        <f t="shared" si="9"/>
        <v>Number of Jobs (2020)</v>
      </c>
      <c r="H25" s="17" t="str">
        <f t="shared" si="9"/>
        <v>Lower-Risk Wildfire Zones (Percent of Area)</v>
      </c>
      <c r="I25" s="17" t="str">
        <f t="shared" si="9"/>
        <v>Non-Agriculture and Forest Lands (Percent of Area)</v>
      </c>
    </row>
    <row r="26" spans="1:9" x14ac:dyDescent="0.3">
      <c r="A26" s="83" t="s">
        <v>18</v>
      </c>
      <c r="B26" s="83"/>
      <c r="C26" s="83"/>
      <c r="D26" s="11">
        <f>D16*$C5</f>
        <v>1.1117277506277173E-2</v>
      </c>
      <c r="E26" s="11">
        <f t="shared" ref="D26:G31" si="10">E16*$C5</f>
        <v>1.0711042295219209E-2</v>
      </c>
      <c r="F26" s="11">
        <f t="shared" si="10"/>
        <v>7.3361051832729028E-3</v>
      </c>
      <c r="G26" s="11">
        <f t="shared" si="10"/>
        <v>6.4896315082798748E-3</v>
      </c>
      <c r="H26" s="11">
        <f t="shared" ref="H26:I26" si="11">H16*$C5</f>
        <v>1.9468894524839624E-2</v>
      </c>
      <c r="I26" s="11">
        <f t="shared" si="11"/>
        <v>1.8504025185501167E-2</v>
      </c>
    </row>
    <row r="27" spans="1:9" x14ac:dyDescent="0.3">
      <c r="A27" s="83" t="s">
        <v>19</v>
      </c>
      <c r="B27" s="83"/>
      <c r="C27" s="83"/>
      <c r="D27" s="11">
        <f t="shared" si="10"/>
        <v>0.67492167686110693</v>
      </c>
      <c r="E27" s="11">
        <f t="shared" si="10"/>
        <v>0.54605313661901878</v>
      </c>
      <c r="F27" s="11">
        <f t="shared" si="10"/>
        <v>0.67492167686110693</v>
      </c>
      <c r="G27" s="11">
        <f t="shared" si="10"/>
        <v>0.67492167686110693</v>
      </c>
      <c r="H27" s="11">
        <f t="shared" ref="H27:I27" si="12">H17*$C6</f>
        <v>0.66630565545436937</v>
      </c>
      <c r="I27" s="11">
        <f t="shared" si="12"/>
        <v>0.55969208224384259</v>
      </c>
    </row>
    <row r="28" spans="1:9" x14ac:dyDescent="0.3">
      <c r="A28" s="83" t="s">
        <v>20</v>
      </c>
      <c r="B28" s="83"/>
      <c r="C28" s="83"/>
      <c r="D28" s="11">
        <f t="shared" si="10"/>
        <v>4.6970993758685346E-2</v>
      </c>
      <c r="E28" s="11">
        <f t="shared" si="10"/>
        <v>6.2394899255368924E-2</v>
      </c>
      <c r="F28" s="11">
        <f t="shared" si="10"/>
        <v>3.5221088545686875E-2</v>
      </c>
      <c r="G28" s="11">
        <f t="shared" si="10"/>
        <v>2.9223634601556001E-2</v>
      </c>
      <c r="H28" s="11">
        <f t="shared" ref="H28:I28" si="13">H18*$C7</f>
        <v>8.1008503655079805E-2</v>
      </c>
      <c r="I28" s="11">
        <f t="shared" si="13"/>
        <v>7.2408112360525162E-2</v>
      </c>
    </row>
    <row r="29" spans="1:9" x14ac:dyDescent="0.3">
      <c r="A29" s="83" t="s">
        <v>21</v>
      </c>
      <c r="B29" s="83"/>
      <c r="C29" s="83"/>
      <c r="D29" s="11">
        <f t="shared" si="10"/>
        <v>7.6175876752926863E-2</v>
      </c>
      <c r="E29" s="11">
        <f t="shared" si="10"/>
        <v>4.848575264806803E-2</v>
      </c>
      <c r="F29" s="11">
        <f t="shared" si="10"/>
        <v>0.1032957339024058</v>
      </c>
      <c r="G29" s="11">
        <f t="shared" si="10"/>
        <v>7.3503890440230465E-2</v>
      </c>
      <c r="H29" s="11">
        <f t="shared" ref="H29:I29" si="14">H19*$C8</f>
        <v>0.14122764973447899</v>
      </c>
      <c r="I29" s="11">
        <f t="shared" si="14"/>
        <v>0.12829503756954269</v>
      </c>
    </row>
    <row r="30" spans="1:9" x14ac:dyDescent="0.3">
      <c r="A30" s="83" t="s">
        <v>22</v>
      </c>
      <c r="B30" s="83"/>
      <c r="C30" s="83"/>
      <c r="D30" s="11">
        <f t="shared" si="10"/>
        <v>3.2181060740657838E-2</v>
      </c>
      <c r="E30" s="11">
        <f t="shared" si="10"/>
        <v>8.4141429210801144E-2</v>
      </c>
      <c r="F30" s="11">
        <f t="shared" si="10"/>
        <v>4.3899876109983201E-2</v>
      </c>
      <c r="G30" s="11">
        <f t="shared" si="10"/>
        <v>3.2613582682001305E-2</v>
      </c>
      <c r="H30" s="11">
        <f t="shared" ref="H30:I30" si="15">H20*$C9</f>
        <v>2.8047143070267046E-2</v>
      </c>
      <c r="I30" s="11">
        <f t="shared" si="15"/>
        <v>8.4141429210801144E-2</v>
      </c>
    </row>
    <row r="31" spans="1:9" x14ac:dyDescent="0.3">
      <c r="A31" s="83" t="s">
        <v>8</v>
      </c>
      <c r="B31" s="83"/>
      <c r="C31" s="83"/>
      <c r="D31" s="11">
        <f t="shared" si="10"/>
        <v>0.16500074593465613</v>
      </c>
      <c r="E31" s="11">
        <f t="shared" si="10"/>
        <v>0.41989667274619286</v>
      </c>
      <c r="F31" s="11">
        <f t="shared" si="10"/>
        <v>0.16500074593465613</v>
      </c>
      <c r="G31" s="11">
        <f t="shared" si="10"/>
        <v>0.24333746056137479</v>
      </c>
      <c r="H31" s="11">
        <f t="shared" ref="H31:I31" si="16">H21*$C10</f>
        <v>0.35141648229912925</v>
      </c>
      <c r="I31" s="11">
        <f t="shared" si="16"/>
        <v>0.16500074593465613</v>
      </c>
    </row>
    <row r="32" spans="1:9" x14ac:dyDescent="0.3">
      <c r="A32" s="86" t="s">
        <v>12</v>
      </c>
      <c r="B32" s="86"/>
      <c r="C32" s="86"/>
      <c r="D32" s="13">
        <f>SUM(D26:D31)</f>
        <v>1.0063676315543102</v>
      </c>
      <c r="E32" s="13">
        <f>SUM(E26:E31)</f>
        <v>1.171682932774669</v>
      </c>
      <c r="F32" s="13">
        <f>SUM(F26:F31)</f>
        <v>1.0296752265371119</v>
      </c>
      <c r="G32" s="13">
        <f>SUM(G26:G31)</f>
        <v>1.0600898766545492</v>
      </c>
      <c r="H32" s="13">
        <f t="shared" ref="H32:I32" si="17">SUM(H26:H31)</f>
        <v>1.287474328738164</v>
      </c>
      <c r="I32" s="13">
        <f t="shared" si="17"/>
        <v>1.0280414325048688</v>
      </c>
    </row>
    <row r="33" spans="1:12" x14ac:dyDescent="0.3">
      <c r="E33" s="4"/>
    </row>
    <row r="34" spans="1:12" ht="17.399999999999999" x14ac:dyDescent="0.35">
      <c r="A34" s="74" t="s">
        <v>6</v>
      </c>
      <c r="B34" s="74"/>
      <c r="C34" s="74"/>
      <c r="D34" s="74"/>
      <c r="E34" s="74"/>
      <c r="F34" s="74"/>
      <c r="G34" s="74"/>
      <c r="H34" s="74"/>
      <c r="I34" s="74"/>
    </row>
    <row r="35" spans="1:12" x14ac:dyDescent="0.3">
      <c r="A35" s="77" t="s">
        <v>7</v>
      </c>
      <c r="B35" s="77"/>
      <c r="C35" s="77"/>
      <c r="D35" s="77"/>
      <c r="E35" s="77"/>
      <c r="F35" s="77"/>
      <c r="G35" s="77"/>
    </row>
    <row r="36" spans="1:12" ht="86.4" x14ac:dyDescent="0.3">
      <c r="A36" s="78" t="s">
        <v>15</v>
      </c>
      <c r="B36" s="78"/>
      <c r="C36" s="78"/>
      <c r="D36" s="17" t="str">
        <f t="shared" ref="D36:I36" si="18">D3</f>
        <v>TCAC Opportunity Map Index</v>
      </c>
      <c r="E36" s="6" t="str">
        <f t="shared" si="18"/>
        <v>Percent of Children Living Above Poverty Level</v>
      </c>
      <c r="F36" s="17" t="str">
        <f t="shared" si="18"/>
        <v>Transit Connectivity Index</v>
      </c>
      <c r="G36" s="17" t="str">
        <f t="shared" si="18"/>
        <v>Number of Jobs (2020)</v>
      </c>
      <c r="H36" s="17" t="str">
        <f t="shared" si="18"/>
        <v>Lower-Risk Wildfire Zones (Percent of Area)</v>
      </c>
      <c r="I36" s="17" t="str">
        <f t="shared" si="18"/>
        <v>Non-Agriculture and Forest Lands (Percent of Area)</v>
      </c>
    </row>
    <row r="37" spans="1:12" x14ac:dyDescent="0.3">
      <c r="A37" s="83" t="s">
        <v>18</v>
      </c>
      <c r="B37" s="83"/>
      <c r="C37" s="83"/>
      <c r="D37" s="11">
        <f t="shared" ref="D37:G42" si="19">D26/D$32</f>
        <v>1.1046934696326441E-2</v>
      </c>
      <c r="E37" s="11">
        <f t="shared" si="19"/>
        <v>9.1415877073965125E-3</v>
      </c>
      <c r="F37" s="11">
        <f t="shared" si="19"/>
        <v>7.1246787280149181E-3</v>
      </c>
      <c r="G37" s="11">
        <f t="shared" si="19"/>
        <v>6.1217748147543594E-3</v>
      </c>
      <c r="H37" s="11">
        <f t="shared" ref="H37:I37" si="20">H26/H$32</f>
        <v>1.5121772986278353E-2</v>
      </c>
      <c r="I37" s="11">
        <f t="shared" si="20"/>
        <v>1.7999299055890466E-2</v>
      </c>
      <c r="L37" s="65"/>
    </row>
    <row r="38" spans="1:12" x14ac:dyDescent="0.3">
      <c r="A38" s="83" t="s">
        <v>19</v>
      </c>
      <c r="B38" s="83"/>
      <c r="C38" s="83"/>
      <c r="D38" s="11">
        <f t="shared" si="19"/>
        <v>0.67065121700973918</v>
      </c>
      <c r="E38" s="11">
        <f t="shared" si="19"/>
        <v>0.46604172625943036</v>
      </c>
      <c r="F38" s="11">
        <f t="shared" si="19"/>
        <v>0.65547044297737234</v>
      </c>
      <c r="G38" s="11">
        <f t="shared" si="19"/>
        <v>0.63666458073445331</v>
      </c>
      <c r="H38" s="11">
        <f t="shared" ref="H38:I38" si="21">H27/H$32</f>
        <v>0.51752927462826104</v>
      </c>
      <c r="I38" s="11">
        <f t="shared" si="21"/>
        <v>0.54442560829491848</v>
      </c>
      <c r="L38" s="65"/>
    </row>
    <row r="39" spans="1:12" x14ac:dyDescent="0.3">
      <c r="A39" s="83" t="s">
        <v>20</v>
      </c>
      <c r="B39" s="83"/>
      <c r="C39" s="83"/>
      <c r="D39" s="11">
        <f t="shared" si="19"/>
        <v>4.6673792246417739E-2</v>
      </c>
      <c r="E39" s="11">
        <f t="shared" si="19"/>
        <v>5.3252375288604069E-2</v>
      </c>
      <c r="F39" s="11">
        <f t="shared" si="19"/>
        <v>3.4206017235297079E-2</v>
      </c>
      <c r="G39" s="11">
        <f t="shared" si="19"/>
        <v>2.7567129207742718E-2</v>
      </c>
      <c r="H39" s="11">
        <f t="shared" ref="H39:I39" si="22">H28/H$32</f>
        <v>6.2920480701526005E-2</v>
      </c>
      <c r="I39" s="11">
        <f t="shared" si="22"/>
        <v>7.0433068231597992E-2</v>
      </c>
      <c r="L39" s="65"/>
    </row>
    <row r="40" spans="1:12" x14ac:dyDescent="0.3">
      <c r="A40" s="83" t="s">
        <v>21</v>
      </c>
      <c r="B40" s="83"/>
      <c r="C40" s="83"/>
      <c r="D40" s="11">
        <f t="shared" si="19"/>
        <v>7.5693885976116981E-2</v>
      </c>
      <c r="E40" s="11">
        <f t="shared" si="19"/>
        <v>4.1381291210966648E-2</v>
      </c>
      <c r="F40" s="11">
        <f t="shared" si="19"/>
        <v>0.10031875220480775</v>
      </c>
      <c r="G40" s="11">
        <f t="shared" si="19"/>
        <v>6.9337413797587968E-2</v>
      </c>
      <c r="H40" s="11">
        <f t="shared" ref="H40:I40" si="23">H29/H$32</f>
        <v>0.10969356559745488</v>
      </c>
      <c r="I40" s="11">
        <f t="shared" si="23"/>
        <v>0.12479559044322379</v>
      </c>
      <c r="L40" s="65"/>
    </row>
    <row r="41" spans="1:12" x14ac:dyDescent="0.3">
      <c r="A41" s="83" t="s">
        <v>22</v>
      </c>
      <c r="B41" s="83"/>
      <c r="C41" s="83"/>
      <c r="D41" s="11">
        <f t="shared" si="19"/>
        <v>3.1977440183519196E-2</v>
      </c>
      <c r="E41" s="11">
        <f t="shared" si="19"/>
        <v>7.1812456132262129E-2</v>
      </c>
      <c r="F41" s="11">
        <f t="shared" si="19"/>
        <v>4.2634682255707303E-2</v>
      </c>
      <c r="G41" s="11">
        <f t="shared" si="19"/>
        <v>3.0764922295950826E-2</v>
      </c>
      <c r="H41" s="11">
        <f t="shared" ref="H41:I41" si="24">H30/H$32</f>
        <v>2.1784623152646211E-2</v>
      </c>
      <c r="I41" s="11">
        <f t="shared" si="24"/>
        <v>8.1846340575775042E-2</v>
      </c>
      <c r="L41" s="65"/>
    </row>
    <row r="42" spans="1:12" x14ac:dyDescent="0.3">
      <c r="A42" s="83" t="s">
        <v>8</v>
      </c>
      <c r="B42" s="83"/>
      <c r="C42" s="83"/>
      <c r="D42" s="11">
        <f t="shared" si="19"/>
        <v>0.16395672988788054</v>
      </c>
      <c r="E42" s="11">
        <f t="shared" si="19"/>
        <v>0.35837056340134033</v>
      </c>
      <c r="F42" s="11">
        <f t="shared" si="19"/>
        <v>0.16024542659880059</v>
      </c>
      <c r="G42" s="11">
        <f t="shared" si="19"/>
        <v>0.22954417914951092</v>
      </c>
      <c r="H42" s="11">
        <f t="shared" ref="H42:I42" si="25">H31/H$32</f>
        <v>0.2729502829338335</v>
      </c>
      <c r="I42" s="11">
        <f t="shared" si="25"/>
        <v>0.16050009339859431</v>
      </c>
      <c r="L42" s="65"/>
    </row>
    <row r="43" spans="1:12" x14ac:dyDescent="0.3">
      <c r="A43" s="86" t="s">
        <v>12</v>
      </c>
      <c r="B43" s="86"/>
      <c r="C43" s="86"/>
      <c r="D43" s="21">
        <f>SUM(D37:D42)</f>
        <v>1</v>
      </c>
      <c r="E43" s="21">
        <f>SUM(E37:E42)</f>
        <v>1</v>
      </c>
      <c r="F43" s="21">
        <f>SUM(F37:F42)</f>
        <v>1</v>
      </c>
      <c r="G43" s="21">
        <f>SUM(G37:G42)</f>
        <v>1.0000000000000002</v>
      </c>
      <c r="H43" s="21">
        <f t="shared" ref="H43:I43" si="26">SUM(H37:H42)</f>
        <v>1</v>
      </c>
      <c r="I43" s="21">
        <f t="shared" si="26"/>
        <v>1</v>
      </c>
    </row>
  </sheetData>
  <sheetProtection algorithmName="SHA-512" hashValue="fqgVsQbYZveGJnbXb3fk8oSDPZqZyTlQyn1s4vtQeXC8KF2jxvybLQGctgFwK7ZnFhrHjaOn40GjZoT5LcWOQg==" saltValue="/3IY2A7281sel2U12scEBA==" spinCount="100000" sheet="1" objects="1" scenarios="1"/>
  <mergeCells count="39">
    <mergeCell ref="E3:E4"/>
    <mergeCell ref="A43:C43"/>
    <mergeCell ref="A38:C38"/>
    <mergeCell ref="A39:C39"/>
    <mergeCell ref="A40:C40"/>
    <mergeCell ref="A41:C41"/>
    <mergeCell ref="A42:C42"/>
    <mergeCell ref="A29:C29"/>
    <mergeCell ref="A30:C30"/>
    <mergeCell ref="A31:C31"/>
    <mergeCell ref="A36:C36"/>
    <mergeCell ref="A37:C37"/>
    <mergeCell ref="A32:C32"/>
    <mergeCell ref="A35:G35"/>
    <mergeCell ref="A21:C21"/>
    <mergeCell ref="A25:C25"/>
    <mergeCell ref="A28:C28"/>
    <mergeCell ref="A23:I23"/>
    <mergeCell ref="A16:C16"/>
    <mergeCell ref="A17:C17"/>
    <mergeCell ref="A18:C18"/>
    <mergeCell ref="A19:C19"/>
    <mergeCell ref="A20:C20"/>
    <mergeCell ref="A1:I1"/>
    <mergeCell ref="A34:I34"/>
    <mergeCell ref="A13:I13"/>
    <mergeCell ref="A14:G14"/>
    <mergeCell ref="A24:G24"/>
    <mergeCell ref="A2:G2"/>
    <mergeCell ref="A15:C15"/>
    <mergeCell ref="B3:C3"/>
    <mergeCell ref="D3:D4"/>
    <mergeCell ref="F3:F4"/>
    <mergeCell ref="G3:G4"/>
    <mergeCell ref="H3:H4"/>
    <mergeCell ref="I3:I4"/>
    <mergeCell ref="A3:A4"/>
    <mergeCell ref="A26:C26"/>
    <mergeCell ref="A27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Tool</vt:lpstr>
      <vt:lpstr>Factors</vt:lpstr>
    </vt:vector>
  </TitlesOfParts>
  <Manager/>
  <Company>Association of Bay Area Governments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Aksel Olsen</dc:creator>
  <cp:keywords/>
  <dc:description/>
  <cp:lastModifiedBy>Andrea Howard</cp:lastModifiedBy>
  <cp:lastPrinted>2020-05-05T15:58:31Z</cp:lastPrinted>
  <dcterms:created xsi:type="dcterms:W3CDTF">2020-02-24T19:06:17Z</dcterms:created>
  <dcterms:modified xsi:type="dcterms:W3CDTF">2020-06-30T23:49:43Z</dcterms:modified>
  <cp:category/>
</cp:coreProperties>
</file>